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d.docs.live.net/86084355df957c13/Documents/Rocketry/Software ^0 Spreadsheet Tools/My Spreadsheet Calculators/"/>
    </mc:Choice>
  </mc:AlternateContent>
  <xr:revisionPtr revIDLastSave="0" documentId="8_{501321A9-AEFA-40DA-BABA-DA9FAC95EEAA}" xr6:coauthVersionLast="47" xr6:coauthVersionMax="47" xr10:uidLastSave="{00000000-0000-0000-0000-000000000000}"/>
  <bookViews>
    <workbookView xWindow="19068" yWindow="1308" windowWidth="23208" windowHeight="21852" xr2:uid="{00000000-000D-0000-FFFF-FFFF00000000}"/>
  </bookViews>
  <sheets>
    <sheet name="Black Powder Calculator" sheetId="1" r:id="rId1"/>
    <sheet name="Screw Shear Strength" sheetId="5" r:id="rId2"/>
    <sheet name="New BP Calc Model" sheetId="8" r:id="rId3"/>
  </sheets>
  <definedNames>
    <definedName name="a">'New BP Calc Model'!$C$29</definedName>
    <definedName name="AH">'New BP Calc Model'!$C$19</definedName>
    <definedName name="b">'New BP Calc Model'!$C$30</definedName>
    <definedName name="cc">'New BP Calc Model'!$C$31</definedName>
    <definedName name="cvair">'New BP Calc Model'!$C$8</definedName>
    <definedName name="cvBPcp">'New BP Calc Model'!$C$7</definedName>
    <definedName name="d">'New BP Calc Model'!$C$32</definedName>
    <definedName name="deltaHBP">'New BP Calc Model'!$C$9</definedName>
    <definedName name="Dminor">'New BP Calc Model'!$C$15</definedName>
    <definedName name="Dr">'New BP Calc Model'!$C$13</definedName>
    <definedName name="dsholder">'New BP Calc Model'!$C$23</definedName>
    <definedName name="f">'New BP Calc Model'!$C$33</definedName>
    <definedName name="Ffrict">'New BP Calc Model'!$C$21</definedName>
    <definedName name="Fmix">'New BP Calc Model'!$C$27</definedName>
    <definedName name="Fshear">'New BP Calc Model'!$C$25</definedName>
    <definedName name="g">'New BP Calc Model'!$C$34</definedName>
    <definedName name="h">'New BP Calc Model'!$C$35</definedName>
    <definedName name="j">'New BP Calc Model'!$C$36</definedName>
    <definedName name="k">'New BP Calc Model'!$C$37</definedName>
    <definedName name="knc">'New BP Calc Model'!$C$24</definedName>
    <definedName name="Mair">'New BP Calc Model'!$C$4</definedName>
    <definedName name="MBP">'New BP Calc Model'!$C$5</definedName>
    <definedName name="MBPcpgas">'New BP Calc Model'!$C$3</definedName>
    <definedName name="mnc">'New BP Calc Model'!$C$22</definedName>
    <definedName name="mr">'New BP Calc Model'!$C$20</definedName>
    <definedName name="n">'New BP Calc Model'!$C$38</definedName>
    <definedName name="nshear">'New BP Calc Model'!$C$14</definedName>
    <definedName name="Patm">'New BP Calc Model'!$C$11</definedName>
    <definedName name="Pf">'New BP Calc Model'!$C$18</definedName>
    <definedName name="Pmix">'New BP Calc Model'!$C$28</definedName>
    <definedName name="Ru">'New BP Calc Model'!$C$6</definedName>
    <definedName name="SF">'New BP Calc Model'!$C$17</definedName>
    <definedName name="SS">'New BP Calc Model'!$C$16</definedName>
    <definedName name="Tamb">'New BP Calc Model'!$C$10</definedName>
    <definedName name="vnc">'New BP Calc Model'!$C$26</definedName>
    <definedName name="Vpc">'New BP Calc Model'!$C$12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0" i="8" l="1"/>
  <c r="C21" i="8"/>
  <c r="C17" i="8"/>
  <c r="C23" i="8"/>
  <c r="C22" i="8"/>
  <c r="C24" i="8" s="1"/>
  <c r="C16" i="8"/>
  <c r="C18" i="8"/>
  <c r="C15" i="8"/>
  <c r="C14" i="8" l="1"/>
  <c r="C12" i="8"/>
  <c r="C30" i="8" s="1"/>
  <c r="C13" i="8"/>
  <c r="C36" i="8" s="1"/>
  <c r="C19" i="8"/>
  <c r="C31" i="8" s="1"/>
  <c r="C35" i="8"/>
  <c r="C34" i="8"/>
  <c r="C33" i="8"/>
  <c r="C29" i="8"/>
  <c r="C37" i="8" l="1"/>
  <c r="C25" i="8"/>
  <c r="C27" i="8" s="1"/>
  <c r="C26" i="8" s="1"/>
  <c r="C38" i="8"/>
  <c r="C32" i="8"/>
  <c r="C7" i="5"/>
  <c r="E7" i="5" s="1"/>
  <c r="C8" i="5"/>
  <c r="D8" i="5" s="1"/>
  <c r="C9" i="5"/>
  <c r="D9" i="5" s="1"/>
  <c r="C10" i="5"/>
  <c r="D10" i="5" s="1"/>
  <c r="C6" i="5"/>
  <c r="E6" i="5" s="1"/>
  <c r="C19" i="1" l="1"/>
  <c r="C28" i="8"/>
  <c r="C18" i="1" s="1"/>
  <c r="C17" i="1"/>
  <c r="C15" i="1"/>
  <c r="C40" i="8"/>
  <c r="C16" i="1" s="1"/>
  <c r="E10" i="5"/>
  <c r="E8" i="5"/>
  <c r="D6" i="5"/>
  <c r="D7" i="5"/>
  <c r="E9" i="5"/>
</calcChain>
</file>

<file path=xl/sharedStrings.xml><?xml version="1.0" encoding="utf-8"?>
<sst xmlns="http://schemas.openxmlformats.org/spreadsheetml/2006/main" count="161" uniqueCount="135">
  <si>
    <t>Screw</t>
  </si>
  <si>
    <t>Size</t>
  </si>
  <si>
    <t>Diameters (in)</t>
  </si>
  <si>
    <t>Areas (sq in)</t>
  </si>
  <si>
    <t>Shear Strength (lbs)</t>
  </si>
  <si>
    <t>Minor</t>
  </si>
  <si>
    <t>Min</t>
  </si>
  <si>
    <t>Max</t>
  </si>
  <si>
    <t>M2</t>
  </si>
  <si>
    <t>M3</t>
  </si>
  <si>
    <t>From: http://www.feretich.com/Rocketry/Resources/shearPins.html</t>
  </si>
  <si>
    <t>Number of screws</t>
  </si>
  <si>
    <t>2-56</t>
  </si>
  <si>
    <t>6-32</t>
  </si>
  <si>
    <t>ft</t>
  </si>
  <si>
    <t>Body tube diameter</t>
  </si>
  <si>
    <t>4-40</t>
  </si>
  <si>
    <t>Nylon 6/6 Shear Strength (psi)</t>
  </si>
  <si>
    <t>Entered values</t>
  </si>
  <si>
    <t>Calculated Values</t>
  </si>
  <si>
    <t>Screw Shear Strength</t>
  </si>
  <si>
    <t>Molecular weight of black powder gas</t>
  </si>
  <si>
    <t>Molecular wight of air</t>
  </si>
  <si>
    <t>lb/mol</t>
  </si>
  <si>
    <t>Molecular wight of black powder</t>
  </si>
  <si>
    <t>Universal gas constant</t>
  </si>
  <si>
    <t>Specific heat of black powder combustion products</t>
  </si>
  <si>
    <t>Specific heat of air</t>
  </si>
  <si>
    <t>Delta enthalpy of black powder</t>
  </si>
  <si>
    <t>Ambient temperature</t>
  </si>
  <si>
    <t>K</t>
  </si>
  <si>
    <t>Ambient pressure</t>
  </si>
  <si>
    <t>Number of shear pins</t>
  </si>
  <si>
    <t>Shear strength of nylon</t>
  </si>
  <si>
    <t>SS</t>
  </si>
  <si>
    <t>Safety factor</t>
  </si>
  <si>
    <t>SF</t>
  </si>
  <si>
    <t>Parachute packing factor</t>
  </si>
  <si>
    <t>Pf</t>
  </si>
  <si>
    <t>AH</t>
  </si>
  <si>
    <t>Volume of parachute compartment</t>
  </si>
  <si>
    <t>Diameter of rocket</t>
  </si>
  <si>
    <t>a</t>
  </si>
  <si>
    <t>d</t>
  </si>
  <si>
    <t>f</t>
  </si>
  <si>
    <t>j</t>
  </si>
  <si>
    <t>g</t>
  </si>
  <si>
    <t>h</t>
  </si>
  <si>
    <t>k</t>
  </si>
  <si>
    <t>n</t>
  </si>
  <si>
    <t>b</t>
  </si>
  <si>
    <t>mol</t>
  </si>
  <si>
    <t>Minor diameter of shear pin screw</t>
  </si>
  <si>
    <t>cc</t>
  </si>
  <si>
    <t>Mass of the black powder</t>
  </si>
  <si>
    <t>gm</t>
  </si>
  <si>
    <t>Parachute tube inner length</t>
  </si>
  <si>
    <t>Black Powder Calculator</t>
  </si>
  <si>
    <t>New BP Calculator Model</t>
  </si>
  <si>
    <t>Parachute absorption factor (high)</t>
  </si>
  <si>
    <t>Shear screw size</t>
  </si>
  <si>
    <t>Rocket name</t>
  </si>
  <si>
    <t>See "Using Black Powder for Parachute Deployment" at Speedmotionrockets.com or the NAR Archive for a complete description of this model</t>
  </si>
  <si>
    <t>All the calculations are done in the native units of the USCS units system - the final mass of black powder is then converted to grams</t>
  </si>
  <si>
    <t>USCS Native Units</t>
  </si>
  <si>
    <t>Value</t>
  </si>
  <si>
    <t>Quantity</t>
  </si>
  <si>
    <t>Variable</t>
  </si>
  <si>
    <r>
      <t>(lb*ft</t>
    </r>
    <r>
      <rPr>
        <vertAlign val="superscript"/>
        <sz val="10"/>
        <rFont val="Arial"/>
        <family val="2"/>
      </rPr>
      <t>2</t>
    </r>
    <r>
      <rPr>
        <sz val="10"/>
        <rFont val="Arial"/>
        <family val="2"/>
      </rPr>
      <t>)/(s</t>
    </r>
    <r>
      <rPr>
        <vertAlign val="superscript"/>
        <sz val="10"/>
        <rFont val="Arial"/>
        <family val="2"/>
      </rPr>
      <t>2</t>
    </r>
    <r>
      <rPr>
        <sz val="10"/>
        <rFont val="Arial"/>
        <family val="2"/>
      </rPr>
      <t>*K*mol)</t>
    </r>
  </si>
  <si>
    <r>
      <t>ft</t>
    </r>
    <r>
      <rPr>
        <vertAlign val="superscript"/>
        <sz val="10"/>
        <rFont val="Arial"/>
        <family val="2"/>
      </rPr>
      <t>2</t>
    </r>
    <r>
      <rPr>
        <sz val="10"/>
        <rFont val="Arial"/>
        <family val="2"/>
      </rPr>
      <t>/(s</t>
    </r>
    <r>
      <rPr>
        <vertAlign val="superscript"/>
        <sz val="10"/>
        <rFont val="Arial"/>
        <family val="2"/>
      </rPr>
      <t>2</t>
    </r>
    <r>
      <rPr>
        <sz val="10"/>
        <rFont val="Arial"/>
        <family val="2"/>
      </rPr>
      <t>*K)</t>
    </r>
  </si>
  <si>
    <r>
      <t>(lb*ft</t>
    </r>
    <r>
      <rPr>
        <vertAlign val="superscript"/>
        <sz val="10"/>
        <rFont val="Arial"/>
        <family val="2"/>
      </rPr>
      <t>2</t>
    </r>
    <r>
      <rPr>
        <sz val="10"/>
        <rFont val="Arial"/>
        <family val="2"/>
      </rPr>
      <t>)/(s</t>
    </r>
    <r>
      <rPr>
        <vertAlign val="superscript"/>
        <sz val="10"/>
        <rFont val="Arial"/>
        <family val="2"/>
      </rPr>
      <t>2</t>
    </r>
    <r>
      <rPr>
        <sz val="10"/>
        <rFont val="Arial"/>
        <family val="2"/>
      </rPr>
      <t>*mol)</t>
    </r>
  </si>
  <si>
    <r>
      <t>lb/(ft*s</t>
    </r>
    <r>
      <rPr>
        <vertAlign val="superscript"/>
        <sz val="10"/>
        <rFont val="Arial"/>
        <family val="2"/>
      </rPr>
      <t>2</t>
    </r>
    <r>
      <rPr>
        <sz val="10"/>
        <rFont val="Arial"/>
        <family val="2"/>
      </rPr>
      <t>)</t>
    </r>
  </si>
  <si>
    <r>
      <t>ft</t>
    </r>
    <r>
      <rPr>
        <vertAlign val="superscript"/>
        <sz val="10"/>
        <color rgb="FF0000FF"/>
        <rFont val="Arial"/>
        <family val="2"/>
      </rPr>
      <t>3</t>
    </r>
  </si>
  <si>
    <r>
      <t>ft</t>
    </r>
    <r>
      <rPr>
        <vertAlign val="superscript"/>
        <sz val="10"/>
        <rFont val="Arial"/>
        <family val="2"/>
      </rPr>
      <t>2</t>
    </r>
    <r>
      <rPr>
        <sz val="10"/>
        <rFont val="Arial"/>
        <family val="2"/>
      </rPr>
      <t>/s</t>
    </r>
    <r>
      <rPr>
        <vertAlign val="superscript"/>
        <sz val="10"/>
        <rFont val="Arial"/>
        <family val="2"/>
      </rPr>
      <t>2</t>
    </r>
  </si>
  <si>
    <r>
      <t>lb*ft</t>
    </r>
    <r>
      <rPr>
        <vertAlign val="superscript"/>
        <sz val="10"/>
        <rFont val="Arial"/>
        <family val="2"/>
      </rPr>
      <t>2</t>
    </r>
    <r>
      <rPr>
        <sz val="10"/>
        <rFont val="Arial"/>
        <family val="2"/>
      </rPr>
      <t>/(s</t>
    </r>
    <r>
      <rPr>
        <vertAlign val="superscript"/>
        <sz val="10"/>
        <rFont val="Arial"/>
        <family val="2"/>
      </rPr>
      <t>2</t>
    </r>
    <r>
      <rPr>
        <sz val="10"/>
        <rFont val="Arial"/>
        <family val="2"/>
      </rPr>
      <t>*K)</t>
    </r>
  </si>
  <si>
    <r>
      <t>ft</t>
    </r>
    <r>
      <rPr>
        <vertAlign val="superscript"/>
        <sz val="10"/>
        <rFont val="Arial"/>
        <family val="2"/>
      </rPr>
      <t>2</t>
    </r>
    <r>
      <rPr>
        <sz val="10"/>
        <rFont val="Arial"/>
        <family val="2"/>
      </rPr>
      <t>/(s</t>
    </r>
    <r>
      <rPr>
        <vertAlign val="superscript"/>
        <sz val="10"/>
        <rFont val="Arial"/>
        <family val="2"/>
      </rPr>
      <t>2</t>
    </r>
    <r>
      <rPr>
        <sz val="10"/>
        <rFont val="Arial"/>
        <family val="2"/>
      </rPr>
      <t>*K)</t>
    </r>
  </si>
  <si>
    <r>
      <t>ft</t>
    </r>
    <r>
      <rPr>
        <vertAlign val="superscript"/>
        <sz val="10"/>
        <rFont val="Arial"/>
        <family val="2"/>
      </rPr>
      <t>2</t>
    </r>
  </si>
  <si>
    <r>
      <t>lb*ft/s</t>
    </r>
    <r>
      <rPr>
        <vertAlign val="superscript"/>
        <sz val="10"/>
        <rFont val="Arial"/>
        <family val="2"/>
      </rPr>
      <t>2</t>
    </r>
  </si>
  <si>
    <r>
      <t>lb/(ft*s</t>
    </r>
    <r>
      <rPr>
        <vertAlign val="superscript"/>
        <sz val="10"/>
        <rFont val="Arial"/>
        <family val="2"/>
      </rPr>
      <t>2</t>
    </r>
    <r>
      <rPr>
        <sz val="10"/>
        <rFont val="Arial"/>
        <family val="2"/>
      </rPr>
      <t>*K*mol)</t>
    </r>
  </si>
  <si>
    <r>
      <t>M</t>
    </r>
    <r>
      <rPr>
        <vertAlign val="subscript"/>
        <sz val="10"/>
        <rFont val="Arial"/>
        <family val="2"/>
      </rPr>
      <t>BPcpgas</t>
    </r>
  </si>
  <si>
    <r>
      <t>M</t>
    </r>
    <r>
      <rPr>
        <vertAlign val="subscript"/>
        <sz val="10"/>
        <rFont val="Arial"/>
        <family val="2"/>
      </rPr>
      <t>air</t>
    </r>
  </si>
  <si>
    <r>
      <t>M</t>
    </r>
    <r>
      <rPr>
        <vertAlign val="subscript"/>
        <sz val="10"/>
        <rFont val="Arial"/>
        <family val="2"/>
      </rPr>
      <t>BP</t>
    </r>
  </si>
  <si>
    <r>
      <t>R</t>
    </r>
    <r>
      <rPr>
        <vertAlign val="subscript"/>
        <sz val="10"/>
        <rFont val="Arial"/>
        <family val="2"/>
      </rPr>
      <t>u</t>
    </r>
  </si>
  <si>
    <r>
      <t>cv</t>
    </r>
    <r>
      <rPr>
        <vertAlign val="subscript"/>
        <sz val="10"/>
        <rFont val="Arial"/>
        <family val="2"/>
      </rPr>
      <t>BPcp</t>
    </r>
  </si>
  <si>
    <r>
      <t>cv</t>
    </r>
    <r>
      <rPr>
        <vertAlign val="subscript"/>
        <sz val="10"/>
        <rFont val="Arial"/>
        <family val="2"/>
      </rPr>
      <t>air</t>
    </r>
  </si>
  <si>
    <r>
      <t>deltaH</t>
    </r>
    <r>
      <rPr>
        <vertAlign val="subscript"/>
        <sz val="10"/>
        <rFont val="Arial"/>
        <family val="2"/>
      </rPr>
      <t>BP</t>
    </r>
  </si>
  <si>
    <r>
      <t>T</t>
    </r>
    <r>
      <rPr>
        <vertAlign val="subscript"/>
        <sz val="10"/>
        <rFont val="Arial"/>
        <family val="2"/>
      </rPr>
      <t>amb</t>
    </r>
  </si>
  <si>
    <r>
      <t>P</t>
    </r>
    <r>
      <rPr>
        <vertAlign val="subscript"/>
        <sz val="10"/>
        <rFont val="Arial"/>
        <family val="2"/>
      </rPr>
      <t>atm</t>
    </r>
  </si>
  <si>
    <r>
      <t>V</t>
    </r>
    <r>
      <rPr>
        <vertAlign val="subscript"/>
        <sz val="10"/>
        <color rgb="FF0000FF"/>
        <rFont val="Arial"/>
        <family val="2"/>
      </rPr>
      <t>pc</t>
    </r>
  </si>
  <si>
    <r>
      <t>D</t>
    </r>
    <r>
      <rPr>
        <vertAlign val="subscript"/>
        <sz val="10"/>
        <color rgb="FF0000FF"/>
        <rFont val="Arial"/>
        <family val="2"/>
      </rPr>
      <t>r</t>
    </r>
  </si>
  <si>
    <r>
      <t>n</t>
    </r>
    <r>
      <rPr>
        <vertAlign val="subscript"/>
        <sz val="10"/>
        <color rgb="FF0000FF"/>
        <rFont val="Arial"/>
        <family val="2"/>
      </rPr>
      <t>shear</t>
    </r>
  </si>
  <si>
    <r>
      <t>D</t>
    </r>
    <r>
      <rPr>
        <vertAlign val="subscript"/>
        <sz val="10"/>
        <color rgb="FF00B050"/>
        <rFont val="Arial"/>
        <family val="2"/>
      </rPr>
      <t>minor</t>
    </r>
  </si>
  <si>
    <r>
      <t>lb/(ft*s</t>
    </r>
    <r>
      <rPr>
        <vertAlign val="superscript"/>
        <sz val="10"/>
        <color rgb="FF00B050"/>
        <rFont val="Arial"/>
        <family val="2"/>
      </rPr>
      <t>2</t>
    </r>
    <r>
      <rPr>
        <sz val="10"/>
        <color rgb="FF00B050"/>
        <rFont val="Arial"/>
        <family val="2"/>
      </rPr>
      <t>)</t>
    </r>
  </si>
  <si>
    <r>
      <t xml:space="preserve">The numbers in </t>
    </r>
    <r>
      <rPr>
        <sz val="10"/>
        <color rgb="FF0000FF"/>
        <rFont val="Arial"/>
        <family val="2"/>
      </rPr>
      <t>blue</t>
    </r>
    <r>
      <rPr>
        <sz val="10"/>
        <rFont val="Arial"/>
        <family val="2"/>
      </rPr>
      <t xml:space="preserve"> are the user inputs and come from the 'Black Powder Calculator' sheet</t>
    </r>
  </si>
  <si>
    <r>
      <t xml:space="preserve">The number in </t>
    </r>
    <r>
      <rPr>
        <sz val="10"/>
        <color rgb="FFFF0000"/>
        <rFont val="Arial"/>
        <family val="2"/>
      </rPr>
      <t>red</t>
    </r>
    <r>
      <rPr>
        <sz val="10"/>
        <rFont val="Arial"/>
        <family val="2"/>
      </rPr>
      <t xml:space="preserve"> is the model output and is returned to the 'Black Powder Calculator' sheet</t>
    </r>
  </si>
  <si>
    <r>
      <t xml:space="preserve">The numbers in </t>
    </r>
    <r>
      <rPr>
        <sz val="10"/>
        <color rgb="FF00B050"/>
        <rFont val="Arial"/>
        <family val="2"/>
      </rPr>
      <t>green</t>
    </r>
    <r>
      <rPr>
        <sz val="10"/>
        <rFont val="Arial"/>
        <family val="2"/>
      </rPr>
      <t xml:space="preserve"> come form the 'Screw Shear Strength' sheet</t>
    </r>
  </si>
  <si>
    <t>Test Rocket</t>
  </si>
  <si>
    <t>Black powder quantity</t>
  </si>
  <si>
    <t>Variables used in the BP calculation equation below</t>
  </si>
  <si>
    <r>
      <t>m</t>
    </r>
    <r>
      <rPr>
        <vertAlign val="subscript"/>
        <sz val="10"/>
        <color rgb="FFFF0000"/>
        <rFont val="Arial"/>
        <family val="2"/>
      </rPr>
      <t>BP</t>
    </r>
  </si>
  <si>
    <t>Nosecone friction</t>
  </si>
  <si>
    <t>lbf</t>
  </si>
  <si>
    <r>
      <t>lb/(ft*s</t>
    </r>
    <r>
      <rPr>
        <vertAlign val="superscript"/>
        <sz val="10"/>
        <color rgb="FF0000FF"/>
        <rFont val="Arial"/>
        <family val="2"/>
      </rPr>
      <t>2</t>
    </r>
    <r>
      <rPr>
        <sz val="10"/>
        <color rgb="FF0000FF"/>
        <rFont val="Arial"/>
        <family val="2"/>
      </rPr>
      <t>)</t>
    </r>
  </si>
  <si>
    <r>
      <t>F</t>
    </r>
    <r>
      <rPr>
        <vertAlign val="subscript"/>
        <sz val="10"/>
        <color rgb="FF0000FF"/>
        <rFont val="Arial"/>
        <family val="2"/>
      </rPr>
      <t>frict</t>
    </r>
  </si>
  <si>
    <t>Nosecone mass</t>
  </si>
  <si>
    <t>Nosecone sholder length</t>
  </si>
  <si>
    <t>Shear Screw Shear Force</t>
  </si>
  <si>
    <t>Velocity of nosecone</t>
  </si>
  <si>
    <t>lb</t>
  </si>
  <si>
    <r>
      <t>m</t>
    </r>
    <r>
      <rPr>
        <vertAlign val="subscript"/>
        <sz val="10"/>
        <color rgb="FF0000FF"/>
        <rFont val="Arial"/>
        <family val="2"/>
      </rPr>
      <t>nc</t>
    </r>
  </si>
  <si>
    <r>
      <t>d</t>
    </r>
    <r>
      <rPr>
        <vertAlign val="subscript"/>
        <sz val="10"/>
        <color rgb="FF0000FF"/>
        <rFont val="Arial"/>
        <family val="2"/>
      </rPr>
      <t>sholder</t>
    </r>
  </si>
  <si>
    <r>
      <t>v</t>
    </r>
    <r>
      <rPr>
        <vertAlign val="subscript"/>
        <sz val="10"/>
        <color rgb="FFFF0000"/>
        <rFont val="Arial"/>
        <family val="2"/>
      </rPr>
      <t>nc</t>
    </r>
  </si>
  <si>
    <t>ft/s</t>
  </si>
  <si>
    <t>Pressure generated by black powder</t>
  </si>
  <si>
    <r>
      <t>lb/(ft*s</t>
    </r>
    <r>
      <rPr>
        <vertAlign val="superscript"/>
        <sz val="10"/>
        <color rgb="FFFF0000"/>
        <rFont val="Arial"/>
        <family val="2"/>
      </rPr>
      <t>2</t>
    </r>
    <r>
      <rPr>
        <sz val="10"/>
        <color rgb="FFFF0000"/>
        <rFont val="Arial"/>
        <family val="2"/>
      </rPr>
      <t>)</t>
    </r>
  </si>
  <si>
    <r>
      <t>P</t>
    </r>
    <r>
      <rPr>
        <vertAlign val="subscript"/>
        <sz val="10"/>
        <color rgb="FFFF0000"/>
        <rFont val="Arial"/>
        <family val="2"/>
      </rPr>
      <t>mix</t>
    </r>
  </si>
  <si>
    <t>psi</t>
  </si>
  <si>
    <t>Shear screw shear force</t>
  </si>
  <si>
    <r>
      <t>F</t>
    </r>
    <r>
      <rPr>
        <vertAlign val="subscript"/>
        <sz val="10"/>
        <color rgb="FFFF0000"/>
        <rFont val="Arial"/>
        <family val="2"/>
      </rPr>
      <t>shear</t>
    </r>
  </si>
  <si>
    <r>
      <t>ft*lb/s</t>
    </r>
    <r>
      <rPr>
        <vertAlign val="superscript"/>
        <sz val="10"/>
        <color rgb="FFFF0000"/>
        <rFont val="Arial"/>
        <family val="2"/>
      </rPr>
      <t>2</t>
    </r>
  </si>
  <si>
    <t>Force generated by the black powder</t>
  </si>
  <si>
    <t>Pressure generated by the black powder</t>
  </si>
  <si>
    <r>
      <t>F</t>
    </r>
    <r>
      <rPr>
        <vertAlign val="subscript"/>
        <sz val="10"/>
        <color rgb="FFFF0000"/>
        <rFont val="Arial"/>
        <family val="2"/>
      </rPr>
      <t>mix</t>
    </r>
  </si>
  <si>
    <t>Ejection velocity of nosecone</t>
  </si>
  <si>
    <t>Safety Factor (.4 = 40%)</t>
  </si>
  <si>
    <r>
      <t xml:space="preserve">This calculator assumes the altitude is sea level (14.7 psi).  It is not intended to calculate the charge needed for very high altitude flights (~20k and above).  
This calculator assumes a parachute protector is being used.  A piston will generally require less black powder, but that calculation is not yet included in this calculator
</t>
    </r>
    <r>
      <rPr>
        <b/>
        <i/>
        <sz val="9.5"/>
        <rFont val="Arial"/>
        <family val="2"/>
      </rPr>
      <t>The calculated quantity of black powder is just a starting  recommendation - always ground test with the parachute, recovery blanket, and shock cord in the flight configuration!</t>
    </r>
  </si>
  <si>
    <t>The choice of Shear Screw sizes is on the Screw Shear Strength tab.  If shear screws are not being used, set the number of screws to 0.  In this case, it is just the nosecone friction that is used in the calculation.  The amount of black powder indicated by the calculator may be very small in this case.  Keep in mind that 18mm model rocket motors come with ~0.5 gm of black powder, so probably a good idea not to use less than that amount.
The packing factor is the fraction of the parachute tube taken up by the parachute, chute protector, and shock cord (1 is completely filled, 0 is empty). The quantity of black powder is highly dependent upon the packing factor because the parachute and chute protector absorb much of the energy generated by the black powder, which significantly decreases the amount of pressure generated
The safety factor is the amount above the sum of the shear force and friction force to be generated by the black powder.  Part of the reason for needing a safety factor is to ensure the large variability in pressure generated by black powder is accounted for.  The other reason is to ensure an energetic deployment, as measured by the nosecone ejection velocity.  It can take more pressure to get an energetic deployment then it does to shear the shear screws.  The greater the mass of the nosecone, the slower the deployment.   A deployment velocity between 20 and 50 ft/s is probably fine.  If the deployment velocity is too low, then increase the safety factor.  A larger safety factor may also be needed when shear screws are not used.  Testing has shown that a 0.4 (40%) safety margin works well for typical small to mid-sized high power rockets with shear screws. 
The nosecone shoulder length is the distance over which the nosecone accelerates to the deployment velocity due to the force generated by the black powder</t>
  </si>
  <si>
    <t>in</t>
  </si>
  <si>
    <t xml:space="preserve">  </t>
  </si>
  <si>
    <t>Total rocket mass (including nosecone)</t>
  </si>
  <si>
    <t>Total Rocket Mass</t>
  </si>
  <si>
    <r>
      <t>m</t>
    </r>
    <r>
      <rPr>
        <vertAlign val="subscript"/>
        <sz val="10"/>
        <color rgb="FF0000FF"/>
        <rFont val="Arial"/>
        <family val="2"/>
      </rPr>
      <t>r</t>
    </r>
  </si>
  <si>
    <t>Body to nosecone mass ratio</t>
  </si>
  <si>
    <r>
      <t>k</t>
    </r>
    <r>
      <rPr>
        <vertAlign val="subscript"/>
        <sz val="10"/>
        <rFont val="Arial"/>
        <family val="2"/>
      </rPr>
      <t>nc</t>
    </r>
  </si>
  <si>
    <t>rev 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</si>
</sst>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
    <numFmt numFmtId="165" formatCode="0.0000"/>
  </numFmts>
  <fonts count="24" x14ac:knownFonts="1">
    <font>
      <sz val="10"/>
      <name val="Arial"/>
    </font>
    <font>
      <sz val="8"/>
      <name val="Arial"/>
      <family val="2"/>
    </font>
    <font>
      <sz val="10"/>
      <name val="Arial"/>
      <family val="2"/>
    </font>
    <font>
      <sz val="10"/>
      <color indexed="12"/>
      <name val="Arial"/>
      <family val="2"/>
    </font>
    <font>
      <b/>
      <sz val="10"/>
      <name val="Arial"/>
      <family val="2"/>
    </font>
    <font>
      <b/>
      <sz val="10"/>
      <name val="Arial"/>
      <family val="2"/>
    </font>
    <font>
      <b/>
      <sz val="10"/>
      <color indexed="12"/>
      <name val="Arial"/>
      <family val="2"/>
    </font>
    <font>
      <b/>
      <sz val="12"/>
      <name val="Arial"/>
      <family val="2"/>
    </font>
    <font>
      <b/>
      <sz val="12"/>
      <name val="Arial"/>
      <family val="2"/>
    </font>
    <font>
      <sz val="10"/>
      <color rgb="FFFF0000"/>
      <name val="Arial"/>
      <family val="2"/>
    </font>
    <font>
      <b/>
      <sz val="10"/>
      <color rgb="FF0000FF"/>
      <name val="Arial"/>
      <family val="2"/>
    </font>
    <font>
      <sz val="10"/>
      <color rgb="FF0000FF"/>
      <name val="Arial"/>
      <family val="2"/>
    </font>
    <font>
      <vertAlign val="superscript"/>
      <sz val="10"/>
      <name val="Arial"/>
      <family val="2"/>
    </font>
    <font>
      <vertAlign val="superscript"/>
      <sz val="10"/>
      <color rgb="FF0000FF"/>
      <name val="Arial"/>
      <family val="2"/>
    </font>
    <font>
      <vertAlign val="subscript"/>
      <sz val="10"/>
      <name val="Arial"/>
      <family val="2"/>
    </font>
    <font>
      <vertAlign val="subscript"/>
      <sz val="10"/>
      <color rgb="FF0000FF"/>
      <name val="Arial"/>
      <family val="2"/>
    </font>
    <font>
      <sz val="10"/>
      <color rgb="FF00B050"/>
      <name val="Arial"/>
      <family val="2"/>
    </font>
    <font>
      <vertAlign val="subscript"/>
      <sz val="10"/>
      <color rgb="FF00B050"/>
      <name val="Arial"/>
      <family val="2"/>
    </font>
    <font>
      <vertAlign val="superscript"/>
      <sz val="10"/>
      <color rgb="FF00B050"/>
      <name val="Arial"/>
      <family val="2"/>
    </font>
    <font>
      <vertAlign val="subscript"/>
      <sz val="10"/>
      <color rgb="FFFF0000"/>
      <name val="Arial"/>
      <family val="2"/>
    </font>
    <font>
      <sz val="10"/>
      <color theme="1"/>
      <name val="Arial"/>
      <family val="2"/>
    </font>
    <font>
      <vertAlign val="superscript"/>
      <sz val="10"/>
      <color rgb="FFFF0000"/>
      <name val="Arial"/>
      <family val="2"/>
    </font>
    <font>
      <sz val="9.5"/>
      <name val="Arial"/>
      <family val="2"/>
    </font>
    <font>
      <b/>
      <i/>
      <sz val="9.5"/>
      <name val="Arial"/>
      <family val="2"/>
    </font>
  </fonts>
  <fills count="7">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65">
    <xf numFmtId="0" fontId="0" fillId="0" borderId="0" xfId="0"/>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3" fillId="0" borderId="1" xfId="0" applyFont="1" applyBorder="1" applyAlignment="1">
      <alignment horizontal="center" wrapText="1"/>
    </xf>
    <xf numFmtId="164" fontId="0" fillId="0" borderId="1" xfId="0" applyNumberFormat="1" applyBorder="1" applyAlignment="1">
      <alignment horizontal="center" wrapText="1"/>
    </xf>
    <xf numFmtId="2" fontId="2" fillId="0" borderId="1" xfId="0" applyNumberFormat="1" applyFont="1" applyBorder="1" applyAlignment="1">
      <alignment horizontal="center" wrapText="1"/>
    </xf>
    <xf numFmtId="0" fontId="5" fillId="3" borderId="1" xfId="0" applyFont="1" applyFill="1" applyBorder="1" applyAlignment="1">
      <alignment horizontal="center"/>
    </xf>
    <xf numFmtId="0" fontId="0" fillId="3" borderId="1" xfId="0" applyFill="1" applyBorder="1" applyAlignment="1">
      <alignment horizontal="center"/>
    </xf>
    <xf numFmtId="0" fontId="6" fillId="5" borderId="1" xfId="0" applyFont="1" applyFill="1" applyBorder="1"/>
    <xf numFmtId="49" fontId="6" fillId="5" borderId="1" xfId="0" applyNumberFormat="1" applyFont="1" applyFill="1" applyBorder="1" applyAlignment="1">
      <alignment horizontal="right"/>
    </xf>
    <xf numFmtId="0" fontId="8" fillId="0" borderId="0" xfId="0" applyFont="1"/>
    <xf numFmtId="0" fontId="0" fillId="0" borderId="0" xfId="0" quotePrefix="1"/>
    <xf numFmtId="2" fontId="4" fillId="5" borderId="1" xfId="0" applyNumberFormat="1" applyFont="1" applyFill="1" applyBorder="1"/>
    <xf numFmtId="0" fontId="7" fillId="0" borderId="0" xfId="0" applyFont="1"/>
    <xf numFmtId="0" fontId="10" fillId="5" borderId="1" xfId="0" applyFont="1" applyFill="1" applyBorder="1"/>
    <xf numFmtId="0" fontId="2" fillId="0" borderId="0" xfId="0" applyFont="1"/>
    <xf numFmtId="0" fontId="4" fillId="4" borderId="1" xfId="0" applyFont="1" applyFill="1" applyBorder="1"/>
    <xf numFmtId="0" fontId="4" fillId="4" borderId="1" xfId="0" applyFont="1" applyFill="1" applyBorder="1" applyAlignment="1">
      <alignment horizontal="center"/>
    </xf>
    <xf numFmtId="0" fontId="2" fillId="0" borderId="0" xfId="0" quotePrefix="1" applyFont="1"/>
    <xf numFmtId="0" fontId="0" fillId="0" borderId="1" xfId="0" applyBorder="1" applyAlignment="1">
      <alignment vertical="center"/>
    </xf>
    <xf numFmtId="0" fontId="2" fillId="0" borderId="1" xfId="0" applyFont="1" applyBorder="1" applyAlignment="1">
      <alignment vertical="center"/>
    </xf>
    <xf numFmtId="0" fontId="11" fillId="0" borderId="1" xfId="0" applyFont="1" applyBorder="1" applyAlignment="1">
      <alignment vertical="center"/>
    </xf>
    <xf numFmtId="0" fontId="16" fillId="0" borderId="1" xfId="0" applyFont="1" applyBorder="1" applyAlignment="1">
      <alignment vertical="center"/>
    </xf>
    <xf numFmtId="0" fontId="16" fillId="0" borderId="0" xfId="0" quotePrefix="1" applyFont="1" applyAlignment="1">
      <alignment vertical="center"/>
    </xf>
    <xf numFmtId="0" fontId="9" fillId="0" borderId="1" xfId="0" applyFont="1" applyBorder="1" applyAlignment="1">
      <alignment vertical="center"/>
    </xf>
    <xf numFmtId="165" fontId="0" fillId="0" borderId="1" xfId="0" applyNumberFormat="1" applyBorder="1" applyAlignment="1">
      <alignment vertical="center"/>
    </xf>
    <xf numFmtId="2" fontId="0" fillId="0" borderId="1" xfId="0" applyNumberFormat="1" applyBorder="1" applyAlignment="1">
      <alignment vertical="center"/>
    </xf>
    <xf numFmtId="165" fontId="9" fillId="0" borderId="1" xfId="0" quotePrefix="1" applyNumberFormat="1" applyFont="1" applyBorder="1" applyAlignment="1">
      <alignment vertical="center"/>
    </xf>
    <xf numFmtId="0" fontId="11" fillId="5" borderId="1" xfId="0" applyFont="1" applyFill="1" applyBorder="1" applyAlignment="1">
      <alignment vertical="center"/>
    </xf>
    <xf numFmtId="0" fontId="11" fillId="5" borderId="2" xfId="0" applyFont="1" applyFill="1" applyBorder="1" applyAlignment="1">
      <alignment vertical="center"/>
    </xf>
    <xf numFmtId="0" fontId="9" fillId="5" borderId="2" xfId="0" applyFont="1" applyFill="1" applyBorder="1" applyAlignment="1">
      <alignment vertical="center"/>
    </xf>
    <xf numFmtId="0" fontId="9" fillId="5" borderId="1" xfId="0" applyFont="1" applyFill="1" applyBorder="1" applyAlignment="1">
      <alignment vertical="center"/>
    </xf>
    <xf numFmtId="0" fontId="0" fillId="5" borderId="8" xfId="0" applyFill="1" applyBorder="1"/>
    <xf numFmtId="0" fontId="0" fillId="5" borderId="9" xfId="0" applyFill="1" applyBorder="1"/>
    <xf numFmtId="0" fontId="2" fillId="5" borderId="8" xfId="0" applyFont="1" applyFill="1" applyBorder="1"/>
    <xf numFmtId="0" fontId="2" fillId="5" borderId="9" xfId="0" applyFont="1" applyFill="1" applyBorder="1"/>
    <xf numFmtId="0" fontId="2" fillId="5" borderId="10" xfId="0" applyFont="1" applyFill="1" applyBorder="1"/>
    <xf numFmtId="2" fontId="4" fillId="5" borderId="11" xfId="0" applyNumberFormat="1" applyFont="1" applyFill="1" applyBorder="1"/>
    <xf numFmtId="0" fontId="2" fillId="5" borderId="12" xfId="0" applyFont="1" applyFill="1" applyBorder="1"/>
    <xf numFmtId="0" fontId="7" fillId="6" borderId="0" xfId="0" applyFont="1" applyFill="1"/>
    <xf numFmtId="0" fontId="0" fillId="6" borderId="0" xfId="0" applyFill="1"/>
    <xf numFmtId="0" fontId="3" fillId="6" borderId="0" xfId="0" applyFont="1" applyFill="1"/>
    <xf numFmtId="2" fontId="0" fillId="6" borderId="0" xfId="0" applyNumberFormat="1" applyFill="1"/>
    <xf numFmtId="0" fontId="2" fillId="5" borderId="2" xfId="0" applyFont="1" applyFill="1" applyBorder="1" applyAlignment="1">
      <alignment vertical="center"/>
    </xf>
    <xf numFmtId="0" fontId="2" fillId="5" borderId="1" xfId="0" applyFont="1" applyFill="1" applyBorder="1" applyAlignment="1">
      <alignment vertical="center"/>
    </xf>
    <xf numFmtId="0" fontId="9" fillId="5" borderId="1" xfId="0" quotePrefix="1" applyFont="1" applyFill="1" applyBorder="1" applyAlignment="1">
      <alignment vertical="center"/>
    </xf>
    <xf numFmtId="0" fontId="2" fillId="6" borderId="0" xfId="0" applyFont="1" applyFill="1"/>
    <xf numFmtId="0" fontId="20" fillId="5" borderId="0" xfId="0" applyFont="1" applyFill="1" applyAlignment="1">
      <alignment vertical="center"/>
    </xf>
    <xf numFmtId="0" fontId="5" fillId="4" borderId="5" xfId="0" applyFont="1" applyFill="1" applyBorder="1" applyAlignment="1">
      <alignment horizontal="left"/>
    </xf>
    <xf numFmtId="0" fontId="5" fillId="4" borderId="6" xfId="0" applyFont="1" applyFill="1" applyBorder="1" applyAlignment="1">
      <alignment horizontal="left"/>
    </xf>
    <xf numFmtId="0" fontId="5" fillId="4" borderId="7" xfId="0" applyFont="1" applyFill="1" applyBorder="1" applyAlignment="1">
      <alignment horizontal="left"/>
    </xf>
    <xf numFmtId="0" fontId="5" fillId="4" borderId="8" xfId="0" applyFont="1" applyFill="1" applyBorder="1" applyAlignment="1">
      <alignment horizontal="left"/>
    </xf>
    <xf numFmtId="0" fontId="5" fillId="4" borderId="1" xfId="0" applyFont="1" applyFill="1" applyBorder="1" applyAlignment="1">
      <alignment horizontal="left"/>
    </xf>
    <xf numFmtId="0" fontId="5" fillId="4" borderId="9" xfId="0" applyFont="1" applyFill="1" applyBorder="1" applyAlignment="1">
      <alignment horizontal="left"/>
    </xf>
    <xf numFmtId="0" fontId="6" fillId="5" borderId="1" xfId="0" applyFont="1" applyFill="1" applyBorder="1" applyAlignment="1">
      <alignment horizontal="center"/>
    </xf>
    <xf numFmtId="0" fontId="6" fillId="5" borderId="9" xfId="0" applyFont="1" applyFill="1" applyBorder="1" applyAlignment="1">
      <alignment horizontal="center"/>
    </xf>
    <xf numFmtId="0" fontId="22" fillId="5" borderId="13" xfId="0" applyFont="1" applyFill="1" applyBorder="1" applyAlignment="1">
      <alignment horizontal="left" vertical="top" wrapText="1"/>
    </xf>
    <xf numFmtId="0" fontId="2" fillId="5" borderId="14" xfId="0" applyFont="1" applyFill="1" applyBorder="1" applyAlignment="1">
      <alignment horizontal="left" vertical="top" wrapText="1"/>
    </xf>
    <xf numFmtId="0" fontId="2" fillId="5" borderId="15" xfId="0" applyFont="1" applyFill="1" applyBorder="1" applyAlignment="1">
      <alignment horizontal="left" vertical="top" wrapText="1"/>
    </xf>
    <xf numFmtId="0" fontId="4" fillId="2" borderId="1" xfId="0" applyFont="1" applyFill="1" applyBorder="1" applyAlignment="1">
      <alignment horizontal="center" vertical="center" wrapText="1"/>
    </xf>
    <xf numFmtId="0" fontId="5" fillId="3" borderId="1" xfId="0" applyFont="1" applyFill="1" applyBorder="1" applyAlignment="1">
      <alignment vertical="center"/>
    </xf>
    <xf numFmtId="0" fontId="2" fillId="0" borderId="2"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M24"/>
  <sheetViews>
    <sheetView showGridLines="0" tabSelected="1" zoomScaleNormal="100" workbookViewId="0">
      <selection activeCell="G16" sqref="G16"/>
    </sheetView>
  </sheetViews>
  <sheetFormatPr defaultRowHeight="13.2" x14ac:dyDescent="0.25"/>
  <cols>
    <col min="1" max="1" width="3.21875" style="41" customWidth="1"/>
    <col min="2" max="2" width="38.109375" style="41" customWidth="1"/>
    <col min="3" max="3" width="8.109375" style="41" customWidth="1"/>
    <col min="4" max="4" width="8.88671875" style="41"/>
    <col min="5" max="5" width="8.6640625" style="41" customWidth="1"/>
    <col min="6" max="16384" width="8.88671875" style="41"/>
  </cols>
  <sheetData>
    <row r="1" spans="2:7" ht="16.2" thickBot="1" x14ac:dyDescent="0.35">
      <c r="B1" s="40" t="s">
        <v>57</v>
      </c>
      <c r="C1" s="47" t="s">
        <v>134</v>
      </c>
    </row>
    <row r="2" spans="2:7" x14ac:dyDescent="0.25">
      <c r="B2" s="49" t="s">
        <v>18</v>
      </c>
      <c r="C2" s="50"/>
      <c r="D2" s="51"/>
    </row>
    <row r="3" spans="2:7" x14ac:dyDescent="0.25">
      <c r="B3" s="35" t="s">
        <v>61</v>
      </c>
      <c r="C3" s="55" t="s">
        <v>96</v>
      </c>
      <c r="D3" s="56"/>
    </row>
    <row r="4" spans="2:7" x14ac:dyDescent="0.25">
      <c r="B4" s="33" t="s">
        <v>15</v>
      </c>
      <c r="C4" s="9">
        <v>3</v>
      </c>
      <c r="D4" s="34" t="s">
        <v>127</v>
      </c>
    </row>
    <row r="5" spans="2:7" x14ac:dyDescent="0.25">
      <c r="B5" s="35" t="s">
        <v>56</v>
      </c>
      <c r="C5" s="15">
        <v>15</v>
      </c>
      <c r="D5" s="34" t="s">
        <v>127</v>
      </c>
    </row>
    <row r="6" spans="2:7" x14ac:dyDescent="0.25">
      <c r="B6" s="35" t="s">
        <v>60</v>
      </c>
      <c r="C6" s="10" t="s">
        <v>12</v>
      </c>
      <c r="D6" s="34"/>
    </row>
    <row r="7" spans="2:7" x14ac:dyDescent="0.25">
      <c r="B7" s="33" t="s">
        <v>11</v>
      </c>
      <c r="C7" s="9">
        <v>2</v>
      </c>
      <c r="D7" s="34"/>
    </row>
    <row r="8" spans="2:7" x14ac:dyDescent="0.25">
      <c r="B8" s="33" t="s">
        <v>100</v>
      </c>
      <c r="C8" s="9">
        <v>2</v>
      </c>
      <c r="D8" s="34" t="s">
        <v>101</v>
      </c>
    </row>
    <row r="9" spans="2:7" x14ac:dyDescent="0.25">
      <c r="B9" s="35" t="s">
        <v>37</v>
      </c>
      <c r="C9" s="9">
        <v>1</v>
      </c>
      <c r="D9" s="34"/>
    </row>
    <row r="10" spans="2:7" x14ac:dyDescent="0.25">
      <c r="B10" s="35" t="s">
        <v>124</v>
      </c>
      <c r="C10" s="9">
        <v>0.4</v>
      </c>
      <c r="D10" s="34"/>
    </row>
    <row r="11" spans="2:7" x14ac:dyDescent="0.25">
      <c r="B11" s="35" t="s">
        <v>129</v>
      </c>
      <c r="C11" s="9">
        <v>8</v>
      </c>
      <c r="D11" s="34" t="s">
        <v>108</v>
      </c>
    </row>
    <row r="12" spans="2:7" x14ac:dyDescent="0.25">
      <c r="B12" s="35" t="s">
        <v>104</v>
      </c>
      <c r="C12" s="9">
        <v>0.5</v>
      </c>
      <c r="D12" s="36" t="s">
        <v>108</v>
      </c>
    </row>
    <row r="13" spans="2:7" x14ac:dyDescent="0.25">
      <c r="B13" s="35" t="s">
        <v>105</v>
      </c>
      <c r="C13" s="9">
        <v>3</v>
      </c>
      <c r="D13" s="36" t="s">
        <v>127</v>
      </c>
    </row>
    <row r="14" spans="2:7" x14ac:dyDescent="0.25">
      <c r="B14" s="52" t="s">
        <v>19</v>
      </c>
      <c r="C14" s="53"/>
      <c r="D14" s="54"/>
      <c r="G14" s="42"/>
    </row>
    <row r="15" spans="2:7" x14ac:dyDescent="0.25">
      <c r="B15" s="35" t="s">
        <v>117</v>
      </c>
      <c r="C15" s="13">
        <f>Fshear*0.031</f>
        <v>61.797928909170359</v>
      </c>
      <c r="D15" s="36" t="s">
        <v>101</v>
      </c>
      <c r="G15" s="42"/>
    </row>
    <row r="16" spans="2:7" x14ac:dyDescent="0.25">
      <c r="B16" s="35" t="s">
        <v>97</v>
      </c>
      <c r="C16" s="13">
        <f>'New BP Calc Model'!C40</f>
        <v>2.0784402281687657</v>
      </c>
      <c r="D16" s="36" t="s">
        <v>55</v>
      </c>
    </row>
    <row r="17" spans="2:13" x14ac:dyDescent="0.25">
      <c r="B17" s="35" t="s">
        <v>120</v>
      </c>
      <c r="C17" s="13">
        <f>Fmix*0.031</f>
        <v>89.317100472838504</v>
      </c>
      <c r="D17" s="36" t="s">
        <v>101</v>
      </c>
    </row>
    <row r="18" spans="2:13" x14ac:dyDescent="0.25">
      <c r="B18" s="35" t="s">
        <v>121</v>
      </c>
      <c r="C18" s="13">
        <f>Pmix*0.0002158</f>
        <v>12.666436895608435</v>
      </c>
      <c r="D18" s="36" t="s">
        <v>116</v>
      </c>
    </row>
    <row r="19" spans="2:13" ht="13.8" thickBot="1" x14ac:dyDescent="0.3">
      <c r="B19" s="37" t="s">
        <v>123</v>
      </c>
      <c r="C19" s="38">
        <f>vnc</f>
        <v>54.812948936436747</v>
      </c>
      <c r="D19" s="39" t="s">
        <v>112</v>
      </c>
    </row>
    <row r="20" spans="2:13" ht="13.8" thickBot="1" x14ac:dyDescent="0.3"/>
    <row r="21" spans="2:13" ht="407.4" customHeight="1" thickBot="1" x14ac:dyDescent="0.3">
      <c r="B21" s="57" t="s">
        <v>126</v>
      </c>
      <c r="C21" s="58"/>
      <c r="D21" s="59"/>
      <c r="M21" s="41" t="s">
        <v>128</v>
      </c>
    </row>
    <row r="22" spans="2:13" ht="13.8" thickBot="1" x14ac:dyDescent="0.3"/>
    <row r="23" spans="2:13" ht="159" customHeight="1" thickBot="1" x14ac:dyDescent="0.3">
      <c r="B23" s="57" t="s">
        <v>125</v>
      </c>
      <c r="C23" s="58"/>
      <c r="D23" s="59"/>
    </row>
    <row r="24" spans="2:13" x14ac:dyDescent="0.25">
      <c r="C24" s="43"/>
    </row>
  </sheetData>
  <mergeCells count="5">
    <mergeCell ref="B2:D2"/>
    <mergeCell ref="B14:D14"/>
    <mergeCell ref="C3:D3"/>
    <mergeCell ref="B21:D21"/>
    <mergeCell ref="B23:D23"/>
  </mergeCells>
  <phoneticPr fontId="1" type="noConversion"/>
  <pageMargins left="0.75" right="0.75" top="1" bottom="1" header="0.5" footer="0.5"/>
  <pageSetup scale="8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
  <sheetViews>
    <sheetView showGridLines="0" workbookViewId="0">
      <selection activeCell="F47" sqref="F47"/>
    </sheetView>
  </sheetViews>
  <sheetFormatPr defaultRowHeight="13.2" x14ac:dyDescent="0.25"/>
  <cols>
    <col min="3" max="3" width="11.5546875" bestFit="1" customWidth="1"/>
    <col min="4" max="4" width="10.5546875" bestFit="1" customWidth="1"/>
    <col min="5" max="5" width="11.5546875" bestFit="1" customWidth="1"/>
  </cols>
  <sheetData>
    <row r="1" spans="1:5" ht="15.6" x14ac:dyDescent="0.3">
      <c r="A1" s="11" t="s">
        <v>20</v>
      </c>
    </row>
    <row r="2" spans="1:5" x14ac:dyDescent="0.25">
      <c r="A2" s="61" t="s">
        <v>17</v>
      </c>
      <c r="B2" s="61"/>
      <c r="C2" s="61"/>
      <c r="D2" s="7" t="s">
        <v>6</v>
      </c>
      <c r="E2" s="7" t="s">
        <v>7</v>
      </c>
    </row>
    <row r="3" spans="1:5" x14ac:dyDescent="0.25">
      <c r="A3" s="61"/>
      <c r="B3" s="61"/>
      <c r="C3" s="61"/>
      <c r="D3" s="8">
        <v>9600</v>
      </c>
      <c r="E3" s="8">
        <v>10500</v>
      </c>
    </row>
    <row r="4" spans="1:5" ht="25.5" customHeight="1" x14ac:dyDescent="0.25">
      <c r="A4" s="1" t="s">
        <v>0</v>
      </c>
      <c r="B4" s="1" t="s">
        <v>2</v>
      </c>
      <c r="C4" s="1" t="s">
        <v>3</v>
      </c>
      <c r="D4" s="60" t="s">
        <v>4</v>
      </c>
      <c r="E4" s="60"/>
    </row>
    <row r="5" spans="1:5" x14ac:dyDescent="0.25">
      <c r="A5" s="1" t="s">
        <v>1</v>
      </c>
      <c r="B5" s="1" t="s">
        <v>5</v>
      </c>
      <c r="C5" s="1" t="s">
        <v>5</v>
      </c>
      <c r="D5" s="2" t="s">
        <v>6</v>
      </c>
      <c r="E5" s="2" t="s">
        <v>7</v>
      </c>
    </row>
    <row r="6" spans="1:5" x14ac:dyDescent="0.25">
      <c r="A6" s="3" t="s">
        <v>8</v>
      </c>
      <c r="B6" s="4">
        <v>5.9420000000000001E-2</v>
      </c>
      <c r="C6" s="5">
        <f>3.14159*(B6/2)^2</f>
        <v>2.773031541719E-3</v>
      </c>
      <c r="D6" s="6">
        <f>D$3*C6</f>
        <v>26.621102800502399</v>
      </c>
      <c r="E6" s="6">
        <f>E$3*C6</f>
        <v>29.116831188049499</v>
      </c>
    </row>
    <row r="7" spans="1:5" x14ac:dyDescent="0.25">
      <c r="A7" s="3" t="s">
        <v>12</v>
      </c>
      <c r="B7" s="4">
        <v>6.4100000000000004E-2</v>
      </c>
      <c r="C7" s="5">
        <f>3.14159*(B7/2)^2</f>
        <v>3.2270491019750006E-3</v>
      </c>
      <c r="D7" s="6">
        <f>D$3*C7</f>
        <v>30.979671378960006</v>
      </c>
      <c r="E7" s="6">
        <f>E$3*C7</f>
        <v>33.884015570737503</v>
      </c>
    </row>
    <row r="8" spans="1:5" x14ac:dyDescent="0.25">
      <c r="A8" s="3" t="s">
        <v>16</v>
      </c>
      <c r="B8" s="4">
        <v>8.1299999999999997E-2</v>
      </c>
      <c r="C8" s="5">
        <f>3.14159*(B8/2)^2</f>
        <v>5.1912340017749997E-3</v>
      </c>
      <c r="D8" s="6">
        <f>D$3*C8</f>
        <v>49.835846417039996</v>
      </c>
      <c r="E8" s="6">
        <f>E$3*C8</f>
        <v>54.507957018637498</v>
      </c>
    </row>
    <row r="9" spans="1:5" x14ac:dyDescent="0.25">
      <c r="A9" s="3" t="s">
        <v>9</v>
      </c>
      <c r="B9" s="4">
        <v>9.3960000000000002E-2</v>
      </c>
      <c r="C9" s="5">
        <f>3.14159*(B9/2)^2</f>
        <v>6.9338673774359998E-3</v>
      </c>
      <c r="D9" s="6">
        <f>D$3*C9</f>
        <v>66.565126823385597</v>
      </c>
      <c r="E9" s="6">
        <f>E$3*C9</f>
        <v>72.805607463078005</v>
      </c>
    </row>
    <row r="10" spans="1:5" x14ac:dyDescent="0.25">
      <c r="A10" s="3" t="s">
        <v>13</v>
      </c>
      <c r="B10" s="4">
        <v>9.9699999999999997E-2</v>
      </c>
      <c r="C10" s="5">
        <f>3.14159*(B10/2)^2</f>
        <v>7.8069218357749983E-3</v>
      </c>
      <c r="D10" s="6">
        <f>D$3*C10</f>
        <v>74.946449623439989</v>
      </c>
      <c r="E10" s="6">
        <f>E$3*C10</f>
        <v>81.972679275637489</v>
      </c>
    </row>
    <row r="12" spans="1:5" x14ac:dyDescent="0.25">
      <c r="A12" t="s">
        <v>10</v>
      </c>
    </row>
  </sheetData>
  <mergeCells count="2">
    <mergeCell ref="D4:E4"/>
    <mergeCell ref="A2:C3"/>
  </mergeCells>
  <phoneticPr fontId="1" type="noConversion"/>
  <pageMargins left="0.75" right="0.75" top="1" bottom="1" header="0.5" footer="0.5"/>
  <pageSetup orientation="portrait" horizontalDpi="4294967293" verticalDpi="0" r:id="rId1"/>
  <headerFooter alignWithMargins="0"/>
  <ignoredErrors>
    <ignoredError sqref="A7:A8 A10" twoDigitTextYear="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1C6F7-271F-41F6-A54B-DD68E4DBF28C}">
  <dimension ref="A1:F48"/>
  <sheetViews>
    <sheetView showGridLines="0" topLeftCell="A6" workbookViewId="0">
      <selection activeCell="D57" sqref="D57"/>
    </sheetView>
  </sheetViews>
  <sheetFormatPr defaultRowHeight="13.2" x14ac:dyDescent="0.25"/>
  <cols>
    <col min="1" max="1" width="45.6640625" customWidth="1"/>
    <col min="2" max="2" width="10.77734375" customWidth="1"/>
    <col min="3" max="3" width="10.33203125" customWidth="1"/>
    <col min="4" max="4" width="20.33203125" customWidth="1"/>
  </cols>
  <sheetData>
    <row r="1" spans="1:6" ht="15.6" x14ac:dyDescent="0.3">
      <c r="A1" s="14" t="s">
        <v>58</v>
      </c>
    </row>
    <row r="2" spans="1:6" x14ac:dyDescent="0.25">
      <c r="A2" s="17" t="s">
        <v>66</v>
      </c>
      <c r="B2" s="18" t="s">
        <v>67</v>
      </c>
      <c r="C2" s="18" t="s">
        <v>65</v>
      </c>
      <c r="D2" s="18" t="s">
        <v>64</v>
      </c>
    </row>
    <row r="3" spans="1:6" ht="15.6" x14ac:dyDescent="0.25">
      <c r="A3" s="20" t="s">
        <v>21</v>
      </c>
      <c r="B3" s="21" t="s">
        <v>79</v>
      </c>
      <c r="C3" s="26">
        <v>0.14899999999999999</v>
      </c>
      <c r="D3" s="20" t="s">
        <v>23</v>
      </c>
    </row>
    <row r="4" spans="1:6" ht="15.6" x14ac:dyDescent="0.25">
      <c r="A4" s="20" t="s">
        <v>22</v>
      </c>
      <c r="B4" s="21" t="s">
        <v>80</v>
      </c>
      <c r="C4" s="20">
        <v>6.4199999999999993E-2</v>
      </c>
      <c r="D4" s="20" t="s">
        <v>23</v>
      </c>
    </row>
    <row r="5" spans="1:6" ht="15.6" x14ac:dyDescent="0.25">
      <c r="A5" s="20" t="s">
        <v>24</v>
      </c>
      <c r="B5" s="21" t="s">
        <v>81</v>
      </c>
      <c r="C5" s="26">
        <v>9.9390000000000006E-2</v>
      </c>
      <c r="D5" s="20" t="s">
        <v>23</v>
      </c>
    </row>
    <row r="6" spans="1:6" ht="15.6" x14ac:dyDescent="0.25">
      <c r="A6" s="20" t="s">
        <v>25</v>
      </c>
      <c r="B6" s="21" t="s">
        <v>82</v>
      </c>
      <c r="C6" s="26">
        <v>197.30500000000001</v>
      </c>
      <c r="D6" s="21" t="s">
        <v>68</v>
      </c>
    </row>
    <row r="7" spans="1:6" ht="15.6" x14ac:dyDescent="0.25">
      <c r="A7" s="20" t="s">
        <v>26</v>
      </c>
      <c r="B7" s="21" t="s">
        <v>83</v>
      </c>
      <c r="C7" s="20">
        <v>7247</v>
      </c>
      <c r="D7" s="21" t="s">
        <v>69</v>
      </c>
    </row>
    <row r="8" spans="1:6" ht="15.6" x14ac:dyDescent="0.25">
      <c r="A8" s="20" t="s">
        <v>27</v>
      </c>
      <c r="B8" s="21" t="s">
        <v>84</v>
      </c>
      <c r="C8" s="20">
        <v>7730</v>
      </c>
      <c r="D8" s="21" t="s">
        <v>69</v>
      </c>
    </row>
    <row r="9" spans="1:6" ht="15.6" x14ac:dyDescent="0.25">
      <c r="A9" s="20" t="s">
        <v>28</v>
      </c>
      <c r="B9" s="21" t="s">
        <v>85</v>
      </c>
      <c r="C9" s="20">
        <v>-2245000</v>
      </c>
      <c r="D9" s="21" t="s">
        <v>70</v>
      </c>
    </row>
    <row r="10" spans="1:6" ht="15.6" x14ac:dyDescent="0.25">
      <c r="A10" s="20" t="s">
        <v>29</v>
      </c>
      <c r="B10" s="21" t="s">
        <v>86</v>
      </c>
      <c r="C10" s="20">
        <v>294.26100000000002</v>
      </c>
      <c r="D10" s="20" t="s">
        <v>30</v>
      </c>
    </row>
    <row r="11" spans="1:6" ht="15.6" x14ac:dyDescent="0.25">
      <c r="A11" s="20" t="s">
        <v>31</v>
      </c>
      <c r="B11" s="21" t="s">
        <v>87</v>
      </c>
      <c r="C11" s="20">
        <v>68110</v>
      </c>
      <c r="D11" s="21" t="s">
        <v>71</v>
      </c>
    </row>
    <row r="12" spans="1:6" ht="15.6" x14ac:dyDescent="0.25">
      <c r="A12" s="22" t="s">
        <v>40</v>
      </c>
      <c r="B12" s="22" t="s">
        <v>88</v>
      </c>
      <c r="C12" s="22">
        <f>PI()*('Black Powder Calculator'!C4/2)^2*'Black Powder Calculator'!C5/12^3</f>
        <v>6.1359231515425647E-2</v>
      </c>
      <c r="D12" s="22" t="s">
        <v>72</v>
      </c>
    </row>
    <row r="13" spans="1:6" ht="15.6" x14ac:dyDescent="0.25">
      <c r="A13" s="22" t="s">
        <v>41</v>
      </c>
      <c r="B13" s="22" t="s">
        <v>89</v>
      </c>
      <c r="C13" s="22">
        <f>'Black Powder Calculator'!C4/12</f>
        <v>0.25</v>
      </c>
      <c r="D13" s="22" t="s">
        <v>14</v>
      </c>
    </row>
    <row r="14" spans="1:6" ht="15.6" x14ac:dyDescent="0.25">
      <c r="A14" s="22" t="s">
        <v>32</v>
      </c>
      <c r="B14" s="22" t="s">
        <v>90</v>
      </c>
      <c r="C14" s="22">
        <f>'Black Powder Calculator'!C7</f>
        <v>2</v>
      </c>
      <c r="D14" s="22"/>
    </row>
    <row r="15" spans="1:6" ht="15.6" x14ac:dyDescent="0.25">
      <c r="A15" s="23" t="s">
        <v>52</v>
      </c>
      <c r="B15" s="23" t="s">
        <v>91</v>
      </c>
      <c r="C15" s="23">
        <f>VLOOKUP('Black Powder Calculator'!C6,'Screw Shear Strength'!A5:E10,2,FALSE)/12</f>
        <v>5.3416666666666673E-3</v>
      </c>
      <c r="D15" s="23" t="s">
        <v>14</v>
      </c>
    </row>
    <row r="16" spans="1:6" ht="15.6" x14ac:dyDescent="0.25">
      <c r="A16" s="23" t="s">
        <v>33</v>
      </c>
      <c r="B16" s="23" t="s">
        <v>34</v>
      </c>
      <c r="C16" s="24">
        <f>'Screw Shear Strength'!D3*32.174*12^2</f>
        <v>44477337.600000001</v>
      </c>
      <c r="D16" s="23" t="s">
        <v>92</v>
      </c>
      <c r="F16" s="19"/>
    </row>
    <row r="17" spans="1:6" x14ac:dyDescent="0.25">
      <c r="A17" s="23" t="s">
        <v>35</v>
      </c>
      <c r="B17" s="23" t="s">
        <v>36</v>
      </c>
      <c r="C17" s="23">
        <f>'Black Powder Calculator'!C10</f>
        <v>0.4</v>
      </c>
      <c r="D17" s="23"/>
    </row>
    <row r="18" spans="1:6" x14ac:dyDescent="0.25">
      <c r="A18" s="22" t="s">
        <v>37</v>
      </c>
      <c r="B18" s="22" t="s">
        <v>38</v>
      </c>
      <c r="C18" s="22">
        <f>'Black Powder Calculator'!C9</f>
        <v>1</v>
      </c>
      <c r="D18" s="20"/>
    </row>
    <row r="19" spans="1:6" x14ac:dyDescent="0.25">
      <c r="A19" s="21" t="s">
        <v>59</v>
      </c>
      <c r="B19" s="20" t="s">
        <v>39</v>
      </c>
      <c r="C19" s="20">
        <f>-0.951*2.718^(-4.491*Pf)+0.951</f>
        <v>0.94033486821515777</v>
      </c>
      <c r="D19" s="20"/>
    </row>
    <row r="20" spans="1:6" ht="15.6" x14ac:dyDescent="0.25">
      <c r="A20" s="22" t="s">
        <v>130</v>
      </c>
      <c r="B20" s="22" t="s">
        <v>131</v>
      </c>
      <c r="C20" s="22">
        <f>'Black Powder Calculator'!C11</f>
        <v>8</v>
      </c>
      <c r="D20" s="22"/>
    </row>
    <row r="21" spans="1:6" ht="15.6" x14ac:dyDescent="0.25">
      <c r="A21" s="29" t="s">
        <v>100</v>
      </c>
      <c r="B21" s="29" t="s">
        <v>103</v>
      </c>
      <c r="C21" s="29">
        <f>'Black Powder Calculator'!C8/0.031</f>
        <v>64.516129032258064</v>
      </c>
      <c r="D21" s="29" t="s">
        <v>102</v>
      </c>
    </row>
    <row r="22" spans="1:6" ht="15.6" x14ac:dyDescent="0.25">
      <c r="A22" s="30" t="s">
        <v>104</v>
      </c>
      <c r="B22" s="29" t="s">
        <v>109</v>
      </c>
      <c r="C22" s="29">
        <f>'Black Powder Calculator'!C12</f>
        <v>0.5</v>
      </c>
      <c r="D22" s="29" t="s">
        <v>108</v>
      </c>
    </row>
    <row r="23" spans="1:6" ht="15.6" x14ac:dyDescent="0.25">
      <c r="A23" s="30" t="s">
        <v>105</v>
      </c>
      <c r="B23" s="29" t="s">
        <v>110</v>
      </c>
      <c r="C23" s="29">
        <f>'Black Powder Calculator'!C13/12</f>
        <v>0.25</v>
      </c>
      <c r="D23" s="29" t="s">
        <v>14</v>
      </c>
    </row>
    <row r="24" spans="1:6" ht="15.6" x14ac:dyDescent="0.25">
      <c r="A24" s="44" t="s">
        <v>132</v>
      </c>
      <c r="B24" s="45" t="s">
        <v>133</v>
      </c>
      <c r="C24" s="45">
        <f>(mr-mnc)/mnc</f>
        <v>15</v>
      </c>
      <c r="D24" s="45"/>
    </row>
    <row r="25" spans="1:6" ht="15.6" x14ac:dyDescent="0.25">
      <c r="A25" s="31" t="s">
        <v>106</v>
      </c>
      <c r="B25" s="32" t="s">
        <v>118</v>
      </c>
      <c r="C25" s="32">
        <f>PI()*(Dminor/2)^2*SS*nshear</f>
        <v>1993.481577715173</v>
      </c>
      <c r="D25" s="32" t="s">
        <v>119</v>
      </c>
      <c r="F25" s="48"/>
    </row>
    <row r="26" spans="1:6" ht="15.6" x14ac:dyDescent="0.25">
      <c r="A26" s="31" t="s">
        <v>107</v>
      </c>
      <c r="B26" s="32" t="s">
        <v>111</v>
      </c>
      <c r="C26" s="46">
        <f>(SQRT(knc/(knc+1))+SQRT(1/(knc*(knc+1))))*SQRT(2*(Fmix-Ffrict)*dsholder/mnc)</f>
        <v>54.812948936436747</v>
      </c>
      <c r="D26" s="32" t="s">
        <v>112</v>
      </c>
      <c r="F26" s="19"/>
    </row>
    <row r="27" spans="1:6" ht="15.6" x14ac:dyDescent="0.25">
      <c r="A27" s="31" t="s">
        <v>120</v>
      </c>
      <c r="B27" s="32" t="s">
        <v>122</v>
      </c>
      <c r="C27" s="32">
        <f>(Fshear+Ffrict)*(1+SF)</f>
        <v>2881.1967894464033</v>
      </c>
      <c r="D27" s="32" t="s">
        <v>114</v>
      </c>
    </row>
    <row r="28" spans="1:6" ht="15.6" x14ac:dyDescent="0.25">
      <c r="A28" s="31" t="s">
        <v>113</v>
      </c>
      <c r="B28" s="32" t="s">
        <v>115</v>
      </c>
      <c r="C28" s="32">
        <f>Fmix/(PI()*(Dr/2)^2)</f>
        <v>58695.259015794414</v>
      </c>
      <c r="D28" s="25" t="s">
        <v>114</v>
      </c>
    </row>
    <row r="29" spans="1:6" x14ac:dyDescent="0.25">
      <c r="A29" s="62" t="s">
        <v>98</v>
      </c>
      <c r="B29" s="20" t="s">
        <v>42</v>
      </c>
      <c r="C29" s="20">
        <f>MBPcpgas</f>
        <v>0.14899999999999999</v>
      </c>
      <c r="D29" s="20" t="s">
        <v>23</v>
      </c>
    </row>
    <row r="30" spans="1:6" x14ac:dyDescent="0.25">
      <c r="A30" s="63"/>
      <c r="B30" s="20" t="s">
        <v>50</v>
      </c>
      <c r="C30" s="20">
        <f>Patm*Vpc/(Ru*Tamb)</f>
        <v>7.1981351143881794E-2</v>
      </c>
      <c r="D30" s="20" t="s">
        <v>51</v>
      </c>
    </row>
    <row r="31" spans="1:6" ht="15.6" x14ac:dyDescent="0.25">
      <c r="A31" s="63"/>
      <c r="B31" s="20" t="s">
        <v>53</v>
      </c>
      <c r="C31" s="20">
        <f>-(deltaHBP/MBP)*(1-AH)</f>
        <v>1347703.1980779837</v>
      </c>
      <c r="D31" s="21" t="s">
        <v>73</v>
      </c>
    </row>
    <row r="32" spans="1:6" ht="15.6" x14ac:dyDescent="0.25">
      <c r="A32" s="63"/>
      <c r="B32" s="20" t="s">
        <v>43</v>
      </c>
      <c r="C32" s="20">
        <f>cvair*Patm*Vpc*Mair/(Ru*Tamb)</f>
        <v>35.72189720676964</v>
      </c>
      <c r="D32" s="21" t="s">
        <v>74</v>
      </c>
    </row>
    <row r="33" spans="1:4" ht="15.6" x14ac:dyDescent="0.25">
      <c r="A33" s="63"/>
      <c r="B33" s="20" t="s">
        <v>44</v>
      </c>
      <c r="C33" s="20">
        <f>cvBPcp</f>
        <v>7247</v>
      </c>
      <c r="D33" s="21" t="s">
        <v>75</v>
      </c>
    </row>
    <row r="34" spans="1:4" x14ac:dyDescent="0.25">
      <c r="A34" s="63"/>
      <c r="B34" s="20" t="s">
        <v>46</v>
      </c>
      <c r="C34" s="20">
        <f>Tamb</f>
        <v>294.26100000000002</v>
      </c>
      <c r="D34" s="20" t="s">
        <v>30</v>
      </c>
    </row>
    <row r="35" spans="1:4" ht="15.6" x14ac:dyDescent="0.25">
      <c r="A35" s="63"/>
      <c r="B35" s="20" t="s">
        <v>47</v>
      </c>
      <c r="C35" s="20">
        <f>Patm</f>
        <v>68110</v>
      </c>
      <c r="D35" s="21" t="s">
        <v>71</v>
      </c>
    </row>
    <row r="36" spans="1:4" ht="15.6" x14ac:dyDescent="0.25">
      <c r="A36" s="63"/>
      <c r="B36" s="20" t="s">
        <v>45</v>
      </c>
      <c r="C36" s="20">
        <f>PI()*(Dr/2)^2</f>
        <v>4.9087385212340517E-2</v>
      </c>
      <c r="D36" s="21" t="s">
        <v>76</v>
      </c>
    </row>
    <row r="37" spans="1:4" ht="15.6" x14ac:dyDescent="0.25">
      <c r="A37" s="63"/>
      <c r="B37" s="20" t="s">
        <v>48</v>
      </c>
      <c r="C37" s="27">
        <f>(PI()*(Dminor/2)^2*SS*nshear+Ffrict)*(1+SF)</f>
        <v>2881.1967894464033</v>
      </c>
      <c r="D37" s="21" t="s">
        <v>77</v>
      </c>
    </row>
    <row r="38" spans="1:4" ht="15.6" x14ac:dyDescent="0.25">
      <c r="A38" s="64"/>
      <c r="B38" s="20" t="s">
        <v>49</v>
      </c>
      <c r="C38" s="20">
        <f>Ru/Vpc</f>
        <v>3215.5715631868325</v>
      </c>
      <c r="D38" s="21" t="s">
        <v>78</v>
      </c>
    </row>
    <row r="39" spans="1:4" x14ac:dyDescent="0.25">
      <c r="A39" s="20"/>
      <c r="B39" s="20"/>
      <c r="C39" s="20"/>
      <c r="D39" s="20"/>
    </row>
    <row r="40" spans="1:4" ht="15.6" x14ac:dyDescent="0.25">
      <c r="A40" s="25" t="s">
        <v>54</v>
      </c>
      <c r="B40" s="25" t="s">
        <v>99</v>
      </c>
      <c r="C40" s="28">
        <f>(SQRT(((a^2*b^2*f^2-2*a*b*d*f+d^2)*g^2+(2*a^2*b^2*cc*f-2*a*b*cc*d)*g+a^2*b^2*cc^2)*j^2*n^2+(((2*a*d*f-2*a^2*b*f^2)*g+(4*a*cc*d-2*a^2*b*cc*f))*j*k+((2*a*d*f-2*a^2*b*f^2)*g+(4*a*cc*d-2*a^2*b*cc*f))*h*j^2)*n+a^2*f^2*k^2+2*a^2*f^2*h*j*k+a^2*f^2*h^2*j^2)+(a*f*k+a*f*h*j-((a*b*f+d)*g+a*b*cc)*j*n))/(2*j*n*(f*g+cc))*453.592</f>
        <v>2.0784402281687657</v>
      </c>
      <c r="D40" s="25" t="s">
        <v>55</v>
      </c>
    </row>
    <row r="43" spans="1:4" x14ac:dyDescent="0.25">
      <c r="A43" s="16" t="s">
        <v>63</v>
      </c>
      <c r="C43" s="12"/>
    </row>
    <row r="44" spans="1:4" x14ac:dyDescent="0.25">
      <c r="A44" s="16" t="s">
        <v>93</v>
      </c>
    </row>
    <row r="45" spans="1:4" x14ac:dyDescent="0.25">
      <c r="A45" s="16" t="s">
        <v>95</v>
      </c>
    </row>
    <row r="46" spans="1:4" x14ac:dyDescent="0.25">
      <c r="A46" s="16" t="s">
        <v>94</v>
      </c>
    </row>
    <row r="48" spans="1:4" x14ac:dyDescent="0.25">
      <c r="A48" s="16" t="s">
        <v>62</v>
      </c>
    </row>
  </sheetData>
  <mergeCells count="1">
    <mergeCell ref="A29:A3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36</vt:i4>
      </vt:variant>
    </vt:vector>
  </HeadingPairs>
  <TitlesOfParts>
    <vt:vector size="39" baseType="lpstr">
      <vt:lpstr>Black Powder Calculator</vt:lpstr>
      <vt:lpstr>Screw Shear Strength</vt:lpstr>
      <vt:lpstr>New BP Calc Model</vt:lpstr>
      <vt:lpstr>a</vt:lpstr>
      <vt:lpstr>AH</vt:lpstr>
      <vt:lpstr>b</vt:lpstr>
      <vt:lpstr>cc</vt:lpstr>
      <vt:lpstr>cvair</vt:lpstr>
      <vt:lpstr>cvBPcp</vt:lpstr>
      <vt:lpstr>d</vt:lpstr>
      <vt:lpstr>deltaHBP</vt:lpstr>
      <vt:lpstr>Dminor</vt:lpstr>
      <vt:lpstr>Dr</vt:lpstr>
      <vt:lpstr>dsholder</vt:lpstr>
      <vt:lpstr>f</vt:lpstr>
      <vt:lpstr>Ffrict</vt:lpstr>
      <vt:lpstr>Fmix</vt:lpstr>
      <vt:lpstr>Fshear</vt:lpstr>
      <vt:lpstr>g</vt:lpstr>
      <vt:lpstr>h</vt:lpstr>
      <vt:lpstr>j</vt:lpstr>
      <vt:lpstr>k</vt:lpstr>
      <vt:lpstr>knc</vt:lpstr>
      <vt:lpstr>Mair</vt:lpstr>
      <vt:lpstr>MBP</vt:lpstr>
      <vt:lpstr>MBPcpgas</vt:lpstr>
      <vt:lpstr>mnc</vt:lpstr>
      <vt:lpstr>mr</vt:lpstr>
      <vt:lpstr>n</vt:lpstr>
      <vt:lpstr>nshear</vt:lpstr>
      <vt:lpstr>Patm</vt:lpstr>
      <vt:lpstr>Pf</vt:lpstr>
      <vt:lpstr>Pmix</vt:lpstr>
      <vt:lpstr>Ru</vt:lpstr>
      <vt:lpstr>SF</vt:lpstr>
      <vt:lpstr>SS</vt:lpstr>
      <vt:lpstr>Tamb</vt:lpstr>
      <vt:lpstr>vnc</vt:lpstr>
      <vt:lpstr>Vpc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fetchen</dc:creator>
  <cp:lastModifiedBy>Thomas Fetter</cp:lastModifiedBy>
  <cp:lastPrinted>2022-10-07T23:32:04Z</cp:lastPrinted>
  <dcterms:created xsi:type="dcterms:W3CDTF">1996-10-14T23:33:28Z</dcterms:created>
  <dcterms:modified xsi:type="dcterms:W3CDTF">2025-05-08T01:56:00Z</dcterms:modified>
</cp:coreProperties>
</file>